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410"/>
  <workbookPr/>
  <mc:AlternateContent xmlns:mc="http://schemas.openxmlformats.org/markup-compatibility/2006">
    <mc:Choice Requires="x15">
      <x15ac:absPath xmlns:x15ac="http://schemas.microsoft.com/office/spreadsheetml/2010/11/ac" url="/Users/bruno/Desktop/"/>
    </mc:Choice>
  </mc:AlternateContent>
  <xr:revisionPtr revIDLastSave="0" documentId="8_{135E610E-B7D7-D445-A099-316086E3C28C}" xr6:coauthVersionLast="47" xr6:coauthVersionMax="47" xr10:uidLastSave="{00000000-0000-0000-0000-000000000000}"/>
  <bookViews>
    <workbookView xWindow="6220" yWindow="2740" windowWidth="32380" windowHeight="22240" xr2:uid="{00000000-000D-0000-FFFF-FFFF00000000}"/>
  </bookViews>
  <sheets>
    <sheet name="Sheet1" sheetId="1" r:id="rId1"/>
    <sheet name="Feuil1" sheetId="2" r:id="rId2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7" i="1" l="1"/>
  <c r="V23" i="1"/>
  <c r="P27" i="1"/>
  <c r="V27" i="1"/>
  <c r="S27" i="1"/>
  <c r="T27" i="1"/>
  <c r="R27" i="1"/>
  <c r="H20" i="1"/>
  <c r="F11" i="1"/>
  <c r="F16" i="1"/>
  <c r="F14" i="1"/>
  <c r="F12" i="1"/>
  <c r="F10" i="1"/>
  <c r="F15" i="1"/>
  <c r="F17" i="1"/>
  <c r="F13" i="1"/>
  <c r="F18" i="1"/>
  <c r="F31" i="1"/>
  <c r="B31" i="1"/>
  <c r="F32" i="1"/>
  <c r="R29" i="1"/>
  <c r="O26" i="1"/>
  <c r="R26" i="1"/>
  <c r="M23" i="1"/>
  <c r="R23" i="1"/>
  <c r="J20" i="1"/>
  <c r="R20" i="1"/>
  <c r="R19" i="1"/>
  <c r="G16" i="1"/>
  <c r="R16" i="1"/>
  <c r="G11" i="1"/>
  <c r="R11" i="1"/>
  <c r="Q28" i="1"/>
  <c r="R28" i="1"/>
  <c r="R22" i="1"/>
  <c r="K21" i="1"/>
  <c r="R21" i="1"/>
  <c r="G17" i="1"/>
  <c r="R18" i="1"/>
  <c r="R17" i="1"/>
  <c r="G15" i="1"/>
  <c r="R15" i="1"/>
  <c r="G14" i="1"/>
  <c r="R14" i="1"/>
  <c r="G13" i="1"/>
  <c r="R13" i="1"/>
  <c r="G12" i="1"/>
  <c r="R12" i="1"/>
  <c r="G10" i="1"/>
  <c r="R10" i="1"/>
  <c r="R24" i="1"/>
  <c r="R31" i="1"/>
  <c r="R32" i="1"/>
  <c r="F36" i="1"/>
  <c r="T24" i="1"/>
  <c r="T23" i="1"/>
  <c r="T22" i="1"/>
  <c r="T21" i="1"/>
  <c r="T20" i="1"/>
  <c r="S19" i="1"/>
  <c r="T19" i="1"/>
  <c r="T16" i="1"/>
  <c r="T15" i="1"/>
  <c r="T14" i="1"/>
  <c r="T12" i="1"/>
  <c r="T11" i="1"/>
  <c r="T10" i="1"/>
  <c r="J18" i="1"/>
  <c r="S18" i="1"/>
  <c r="T18" i="1"/>
  <c r="T17" i="1"/>
  <c r="T13" i="1"/>
  <c r="R25" i="1"/>
  <c r="T25" i="1"/>
  <c r="T31" i="1"/>
  <c r="O34" i="1"/>
  <c r="P35" i="1"/>
  <c r="H10" i="1"/>
  <c r="H11" i="1"/>
  <c r="H12" i="1"/>
  <c r="H13" i="1"/>
  <c r="H14" i="1"/>
  <c r="H15" i="1"/>
  <c r="H16" i="1"/>
  <c r="H17" i="1"/>
  <c r="G18" i="1"/>
  <c r="H18" i="1"/>
  <c r="H19" i="1"/>
  <c r="H31" i="1"/>
  <c r="H32" i="1"/>
  <c r="J31" i="1"/>
  <c r="J32" i="1"/>
  <c r="M31" i="1"/>
  <c r="M32" i="1"/>
  <c r="K31" i="1"/>
  <c r="K32" i="1"/>
  <c r="O31" i="1"/>
  <c r="O32" i="1"/>
  <c r="L31" i="1"/>
  <c r="L32" i="1"/>
  <c r="N24" i="1"/>
  <c r="N31" i="1"/>
  <c r="N32" i="1"/>
  <c r="I19" i="1"/>
  <c r="I31" i="1"/>
  <c r="I32" i="1"/>
  <c r="L34" i="1"/>
  <c r="F35" i="1"/>
  <c r="R34" i="1"/>
  <c r="F34" i="1"/>
  <c r="V25" i="1"/>
  <c r="V24" i="1"/>
  <c r="V22" i="1"/>
  <c r="V21" i="1"/>
  <c r="V20" i="1"/>
  <c r="V19" i="1"/>
  <c r="V18" i="1"/>
  <c r="V17" i="1"/>
  <c r="V16" i="1"/>
  <c r="V15" i="1"/>
  <c r="V14" i="1"/>
  <c r="V13" i="1"/>
  <c r="V12" i="1"/>
  <c r="V11" i="1"/>
  <c r="V10" i="1"/>
  <c r="V31" i="1"/>
  <c r="V32" i="1"/>
  <c r="C30" i="1"/>
  <c r="U30" i="1"/>
  <c r="C29" i="1"/>
  <c r="U29" i="1"/>
  <c r="C28" i="1"/>
  <c r="U28" i="1"/>
  <c r="C26" i="1"/>
  <c r="U26" i="1"/>
  <c r="C25" i="1"/>
  <c r="U25" i="1"/>
  <c r="C24" i="1"/>
  <c r="U24" i="1"/>
  <c r="C23" i="1"/>
  <c r="U23" i="1"/>
  <c r="C22" i="1"/>
  <c r="U22" i="1"/>
  <c r="C21" i="1"/>
  <c r="U21" i="1"/>
  <c r="C20" i="1"/>
  <c r="U20" i="1"/>
  <c r="C19" i="1"/>
  <c r="U19" i="1"/>
  <c r="C18" i="1"/>
  <c r="U18" i="1"/>
  <c r="C17" i="1"/>
  <c r="U17" i="1"/>
  <c r="C16" i="1"/>
  <c r="U16" i="1"/>
  <c r="C15" i="1"/>
  <c r="U15" i="1"/>
  <c r="C14" i="1"/>
  <c r="U14" i="1"/>
  <c r="C13" i="1"/>
  <c r="U13" i="1"/>
  <c r="C12" i="1"/>
  <c r="U12" i="1"/>
  <c r="C11" i="1"/>
  <c r="U11" i="1"/>
  <c r="C10" i="1"/>
  <c r="U10" i="1"/>
  <c r="U31" i="1"/>
  <c r="U32" i="1"/>
  <c r="S10" i="1"/>
  <c r="S11" i="1"/>
  <c r="S21" i="1"/>
  <c r="S23" i="1"/>
  <c r="S20" i="1"/>
  <c r="S16" i="1"/>
  <c r="S14" i="1"/>
  <c r="S12" i="1"/>
  <c r="S24" i="1"/>
  <c r="S15" i="1"/>
  <c r="S17" i="1"/>
  <c r="S13" i="1"/>
  <c r="S25" i="1"/>
  <c r="S31" i="1"/>
  <c r="S32" i="1"/>
  <c r="Q31" i="1"/>
  <c r="Q32" i="1"/>
  <c r="P31" i="1"/>
  <c r="P32" i="1"/>
  <c r="G31" i="1"/>
  <c r="G32" i="1"/>
  <c r="E30" i="1"/>
  <c r="E24" i="1"/>
  <c r="E23" i="1"/>
  <c r="E22" i="1"/>
  <c r="E21" i="1"/>
  <c r="E20" i="1"/>
  <c r="E19" i="1"/>
  <c r="E17" i="1"/>
  <c r="E16" i="1"/>
  <c r="E15" i="1"/>
  <c r="E14" i="1"/>
  <c r="E12" i="1"/>
  <c r="E11" i="1"/>
  <c r="E10" i="1"/>
  <c r="E31" i="1"/>
  <c r="E32" i="1"/>
  <c r="C27" i="1"/>
  <c r="S22" i="1"/>
  <c r="L22" i="1"/>
  <c r="E18" i="1"/>
  <c r="E13" i="1"/>
</calcChain>
</file>

<file path=xl/sharedStrings.xml><?xml version="1.0" encoding="utf-8"?>
<sst xmlns="http://schemas.openxmlformats.org/spreadsheetml/2006/main" count="54" uniqueCount="48">
  <si>
    <t>TABLE  ANALYTIQUE</t>
  </si>
  <si>
    <t>produits</t>
  </si>
  <si>
    <t xml:space="preserve">poids </t>
  </si>
  <si>
    <t>poids désiré</t>
  </si>
  <si>
    <t>PRIX UNITAIRE HT</t>
  </si>
  <si>
    <t>EAU</t>
  </si>
  <si>
    <t>ESDL</t>
  </si>
  <si>
    <t>MGB</t>
  </si>
  <si>
    <t>MGT</t>
  </si>
  <si>
    <t>jaunes d'œufs</t>
  </si>
  <si>
    <t>saccharose</t>
  </si>
  <si>
    <t>dextrose</t>
  </si>
  <si>
    <t>glucose AT</t>
  </si>
  <si>
    <t xml:space="preserve">maltodextrine </t>
  </si>
  <si>
    <t>sucre inverti</t>
  </si>
  <si>
    <t>stabilisateur</t>
  </si>
  <si>
    <t>parfum</t>
  </si>
  <si>
    <t>E.S.T</t>
  </si>
  <si>
    <t>P.S.R</t>
  </si>
  <si>
    <t>P.A.C</t>
  </si>
  <si>
    <t>COÛT HT</t>
  </si>
  <si>
    <t>Kcalorie</t>
  </si>
  <si>
    <t>poudre à lait à 26 %</t>
  </si>
  <si>
    <t>poudre à lait à 0%</t>
  </si>
  <si>
    <t>lait entier</t>
  </si>
  <si>
    <t>lait écrémé</t>
  </si>
  <si>
    <t>crème à 35%</t>
  </si>
  <si>
    <t>crème à 30%</t>
  </si>
  <si>
    <t>beurre</t>
  </si>
  <si>
    <t>lait concentré entier</t>
  </si>
  <si>
    <t>lait concentré sucré</t>
  </si>
  <si>
    <t>jaunes d'oeufs</t>
  </si>
  <si>
    <t>glucose atomisé</t>
  </si>
  <si>
    <t>maltodextrine</t>
  </si>
  <si>
    <t>miel</t>
  </si>
  <si>
    <t>eau</t>
  </si>
  <si>
    <t xml:space="preserve">POIDS TOTAL </t>
  </si>
  <si>
    <t>%</t>
  </si>
  <si>
    <t>LE KILO =</t>
  </si>
  <si>
    <t>MGT+ ESDL =</t>
  </si>
  <si>
    <t>IDEAL ENTRE 16 ET 22%</t>
  </si>
  <si>
    <t>%E.S.T DU JAUNE</t>
  </si>
  <si>
    <t>sur 2  l</t>
  </si>
  <si>
    <t>ESDL MAXI   =</t>
  </si>
  <si>
    <t>Temp de service</t>
  </si>
  <si>
    <t xml:space="preserve">STABILISATEUR = </t>
  </si>
  <si>
    <t>MAXI</t>
  </si>
  <si>
    <t xml:space="preserve"> CREME GLACEE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</si>
</sst>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20"/>
      <color rgb="FFFF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6" tint="0.79998168889431442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2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2" borderId="2" xfId="0" applyFont="1" applyFill="1" applyBorder="1"/>
    <xf numFmtId="0" fontId="1" fillId="3" borderId="3" xfId="0" applyFont="1" applyFill="1" applyBorder="1"/>
    <xf numFmtId="0" fontId="1" fillId="4" borderId="3" xfId="0" applyFont="1" applyFill="1" applyBorder="1"/>
    <xf numFmtId="0" fontId="1" fillId="5" borderId="3" xfId="0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3" fillId="0" borderId="3" xfId="0" applyFont="1" applyBorder="1"/>
    <xf numFmtId="0" fontId="1" fillId="0" borderId="4" xfId="0" applyFont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1" fillId="6" borderId="6" xfId="0" applyFont="1" applyFill="1" applyBorder="1" applyAlignment="1">
      <alignment horizontal="center"/>
    </xf>
    <xf numFmtId="0" fontId="0" fillId="7" borderId="6" xfId="0" applyFill="1" applyBorder="1" applyAlignment="1">
      <alignment horizontal="left"/>
    </xf>
    <xf numFmtId="0" fontId="1" fillId="2" borderId="7" xfId="0" applyFont="1" applyFill="1" applyBorder="1" applyAlignment="1">
      <alignment horizontal="center"/>
    </xf>
    <xf numFmtId="1" fontId="1" fillId="3" borderId="8" xfId="0" applyNumberFormat="1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1" fontId="0" fillId="5" borderId="8" xfId="0" applyNumberFormat="1" applyFill="1" applyBorder="1" applyAlignment="1">
      <alignment horizontal="center"/>
    </xf>
    <xf numFmtId="0" fontId="0" fillId="7" borderId="8" xfId="0" applyFill="1" applyBorder="1" applyAlignment="1">
      <alignment horizontal="center"/>
    </xf>
    <xf numFmtId="0" fontId="4" fillId="7" borderId="8" xfId="0" applyFont="1" applyFill="1" applyBorder="1" applyAlignment="1">
      <alignment horizontal="center"/>
    </xf>
    <xf numFmtId="0" fontId="0" fillId="7" borderId="8" xfId="0" applyFill="1" applyBorder="1"/>
    <xf numFmtId="0" fontId="0" fillId="7" borderId="9" xfId="0" applyFill="1" applyBorder="1" applyAlignment="1">
      <alignment horizontal="center"/>
    </xf>
    <xf numFmtId="2" fontId="0" fillId="4" borderId="10" xfId="0" applyNumberFormat="1" applyFill="1" applyBorder="1" applyAlignment="1">
      <alignment horizontal="center"/>
    </xf>
    <xf numFmtId="1" fontId="0" fillId="6" borderId="11" xfId="0" applyNumberFormat="1" applyFill="1" applyBorder="1" applyAlignment="1">
      <alignment horizontal="center"/>
    </xf>
    <xf numFmtId="0" fontId="0" fillId="7" borderId="11" xfId="0" applyFill="1" applyBorder="1"/>
    <xf numFmtId="0" fontId="1" fillId="2" borderId="12" xfId="0" applyFont="1" applyFill="1" applyBorder="1" applyAlignment="1">
      <alignment horizontal="center"/>
    </xf>
    <xf numFmtId="1" fontId="1" fillId="3" borderId="13" xfId="0" applyNumberFormat="1" applyFont="1" applyFill="1" applyBorder="1" applyAlignment="1">
      <alignment horizontal="center"/>
    </xf>
    <xf numFmtId="0" fontId="1" fillId="4" borderId="13" xfId="0" applyFont="1" applyFill="1" applyBorder="1" applyAlignment="1">
      <alignment horizontal="center"/>
    </xf>
    <xf numFmtId="1" fontId="0" fillId="5" borderId="13" xfId="0" applyNumberFormat="1" applyFill="1" applyBorder="1" applyAlignment="1">
      <alignment horizontal="center"/>
    </xf>
    <xf numFmtId="0" fontId="0" fillId="7" borderId="13" xfId="0" applyFill="1" applyBorder="1" applyAlignment="1">
      <alignment horizontal="center"/>
    </xf>
    <xf numFmtId="2" fontId="0" fillId="7" borderId="13" xfId="0" applyNumberFormat="1" applyFill="1" applyBorder="1" applyAlignment="1">
      <alignment horizontal="center"/>
    </xf>
    <xf numFmtId="0" fontId="0" fillId="7" borderId="13" xfId="0" applyFill="1" applyBorder="1"/>
    <xf numFmtId="2" fontId="0" fillId="7" borderId="14" xfId="0" applyNumberFormat="1" applyFill="1" applyBorder="1" applyAlignment="1">
      <alignment horizontal="center"/>
    </xf>
    <xf numFmtId="0" fontId="0" fillId="7" borderId="14" xfId="0" applyFill="1" applyBorder="1" applyAlignment="1">
      <alignment horizontal="center"/>
    </xf>
    <xf numFmtId="0" fontId="0" fillId="7" borderId="15" xfId="0" applyFill="1" applyBorder="1"/>
    <xf numFmtId="0" fontId="1" fillId="2" borderId="16" xfId="0" applyFont="1" applyFill="1" applyBorder="1" applyAlignment="1">
      <alignment horizontal="center"/>
    </xf>
    <xf numFmtId="1" fontId="1" fillId="3" borderId="17" xfId="0" applyNumberFormat="1" applyFont="1" applyFill="1" applyBorder="1" applyAlignment="1">
      <alignment horizontal="center"/>
    </xf>
    <xf numFmtId="0" fontId="1" fillId="4" borderId="18" xfId="0" applyFont="1" applyFill="1" applyBorder="1" applyAlignment="1">
      <alignment horizontal="center"/>
    </xf>
    <xf numFmtId="1" fontId="0" fillId="5" borderId="18" xfId="0" applyNumberFormat="1" applyFill="1" applyBorder="1" applyAlignment="1">
      <alignment horizontal="center"/>
    </xf>
    <xf numFmtId="0" fontId="0" fillId="7" borderId="18" xfId="0" applyFill="1" applyBorder="1" applyAlignment="1">
      <alignment horizontal="center"/>
    </xf>
    <xf numFmtId="0" fontId="0" fillId="7" borderId="18" xfId="0" applyFill="1" applyBorder="1"/>
    <xf numFmtId="0" fontId="0" fillId="7" borderId="19" xfId="0" applyFill="1" applyBorder="1" applyAlignment="1">
      <alignment horizontal="center"/>
    </xf>
    <xf numFmtId="0" fontId="0" fillId="8" borderId="1" xfId="0" applyFill="1" applyBorder="1"/>
    <xf numFmtId="0" fontId="1" fillId="2" borderId="2" xfId="0" applyFont="1" applyFill="1" applyBorder="1" applyAlignment="1">
      <alignment horizontal="center"/>
    </xf>
    <xf numFmtId="1" fontId="1" fillId="3" borderId="3" xfId="0" applyNumberFormat="1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1" fontId="0" fillId="5" borderId="3" xfId="0" applyNumberFormat="1" applyFill="1" applyBorder="1" applyAlignment="1">
      <alignment horizontal="center"/>
    </xf>
    <xf numFmtId="0" fontId="0" fillId="8" borderId="3" xfId="0" applyFill="1" applyBorder="1" applyAlignment="1">
      <alignment horizontal="center"/>
    </xf>
    <xf numFmtId="0" fontId="0" fillId="8" borderId="3" xfId="0" applyFill="1" applyBorder="1"/>
    <xf numFmtId="2" fontId="0" fillId="8" borderId="3" xfId="0" applyNumberFormat="1" applyFill="1" applyBorder="1" applyAlignment="1">
      <alignment horizontal="center"/>
    </xf>
    <xf numFmtId="2" fontId="0" fillId="8" borderId="20" xfId="0" applyNumberFormat="1" applyFill="1" applyBorder="1" applyAlignment="1">
      <alignment horizontal="center"/>
    </xf>
    <xf numFmtId="0" fontId="0" fillId="9" borderId="6" xfId="0" applyFill="1" applyBorder="1"/>
    <xf numFmtId="0" fontId="0" fillId="9" borderId="8" xfId="0" applyFill="1" applyBorder="1" applyAlignment="1">
      <alignment horizontal="center"/>
    </xf>
    <xf numFmtId="0" fontId="0" fillId="9" borderId="8" xfId="0" applyFill="1" applyBorder="1"/>
    <xf numFmtId="2" fontId="0" fillId="9" borderId="8" xfId="0" applyNumberFormat="1" applyFill="1" applyBorder="1" applyAlignment="1">
      <alignment horizontal="center"/>
    </xf>
    <xf numFmtId="2" fontId="0" fillId="9" borderId="9" xfId="0" applyNumberFormat="1" applyFill="1" applyBorder="1" applyAlignment="1">
      <alignment horizontal="center"/>
    </xf>
    <xf numFmtId="0" fontId="0" fillId="9" borderId="21" xfId="0" applyFill="1" applyBorder="1"/>
    <xf numFmtId="0" fontId="1" fillId="2" borderId="22" xfId="0" applyFont="1" applyFill="1" applyBorder="1" applyAlignment="1">
      <alignment horizontal="center"/>
    </xf>
    <xf numFmtId="0" fontId="1" fillId="4" borderId="17" xfId="0" applyFont="1" applyFill="1" applyBorder="1" applyAlignment="1">
      <alignment horizontal="center"/>
    </xf>
    <xf numFmtId="1" fontId="0" fillId="5" borderId="17" xfId="0" applyNumberFormat="1" applyFill="1" applyBorder="1" applyAlignment="1">
      <alignment horizontal="center"/>
    </xf>
    <xf numFmtId="0" fontId="0" fillId="9" borderId="17" xfId="0" applyFill="1" applyBorder="1" applyAlignment="1">
      <alignment horizontal="center"/>
    </xf>
    <xf numFmtId="0" fontId="0" fillId="9" borderId="13" xfId="0" applyFill="1" applyBorder="1" applyAlignment="1">
      <alignment horizontal="center"/>
    </xf>
    <xf numFmtId="0" fontId="0" fillId="9" borderId="13" xfId="0" applyFill="1" applyBorder="1"/>
    <xf numFmtId="0" fontId="0" fillId="9" borderId="23" xfId="0" applyFill="1" applyBorder="1" applyAlignment="1">
      <alignment horizontal="center"/>
    </xf>
    <xf numFmtId="0" fontId="0" fillId="9" borderId="11" xfId="0" applyFill="1" applyBorder="1"/>
    <xf numFmtId="0" fontId="0" fillId="9" borderId="14" xfId="0" applyFill="1" applyBorder="1" applyAlignment="1">
      <alignment horizontal="center"/>
    </xf>
    <xf numFmtId="0" fontId="0" fillId="0" borderId="13" xfId="0" applyBorder="1"/>
    <xf numFmtId="0" fontId="0" fillId="9" borderId="24" xfId="0" applyFill="1" applyBorder="1"/>
    <xf numFmtId="0" fontId="1" fillId="2" borderId="25" xfId="0" applyFont="1" applyFill="1" applyBorder="1" applyAlignment="1">
      <alignment horizontal="center"/>
    </xf>
    <xf numFmtId="0" fontId="1" fillId="4" borderId="26" xfId="0" applyFont="1" applyFill="1" applyBorder="1" applyAlignment="1">
      <alignment horizontal="center"/>
    </xf>
    <xf numFmtId="1" fontId="0" fillId="5" borderId="26" xfId="0" applyNumberFormat="1" applyFill="1" applyBorder="1" applyAlignment="1">
      <alignment horizontal="center"/>
    </xf>
    <xf numFmtId="0" fontId="0" fillId="9" borderId="0" xfId="0" applyFill="1"/>
    <xf numFmtId="0" fontId="0" fillId="9" borderId="26" xfId="0" applyFill="1" applyBorder="1" applyAlignment="1">
      <alignment horizontal="center"/>
    </xf>
    <xf numFmtId="0" fontId="0" fillId="9" borderId="27" xfId="0" applyFill="1" applyBorder="1" applyAlignment="1">
      <alignment horizontal="center"/>
    </xf>
    <xf numFmtId="0" fontId="0" fillId="9" borderId="28" xfId="0" applyFill="1" applyBorder="1"/>
    <xf numFmtId="0" fontId="1" fillId="2" borderId="29" xfId="0" applyFont="1" applyFill="1" applyBorder="1" applyAlignment="1">
      <alignment horizontal="center"/>
    </xf>
    <xf numFmtId="1" fontId="1" fillId="3" borderId="30" xfId="0" applyNumberFormat="1" applyFont="1" applyFill="1" applyBorder="1" applyAlignment="1">
      <alignment horizontal="center"/>
    </xf>
    <xf numFmtId="0" fontId="1" fillId="4" borderId="31" xfId="0" applyFont="1" applyFill="1" applyBorder="1" applyAlignment="1">
      <alignment horizontal="center"/>
    </xf>
    <xf numFmtId="1" fontId="0" fillId="5" borderId="31" xfId="0" applyNumberFormat="1" applyFill="1" applyBorder="1" applyAlignment="1">
      <alignment horizontal="center"/>
    </xf>
    <xf numFmtId="0" fontId="0" fillId="9" borderId="31" xfId="0" applyFill="1" applyBorder="1" applyAlignment="1">
      <alignment horizontal="center"/>
    </xf>
    <xf numFmtId="0" fontId="0" fillId="9" borderId="32" xfId="0" applyFill="1" applyBorder="1" applyAlignment="1">
      <alignment horizontal="center"/>
    </xf>
    <xf numFmtId="0" fontId="0" fillId="0" borderId="24" xfId="0" applyBorder="1"/>
    <xf numFmtId="1" fontId="1" fillId="3" borderId="26" xfId="0" applyNumberFormat="1" applyFont="1" applyFill="1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11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21" xfId="0" applyBorder="1"/>
    <xf numFmtId="0" fontId="0" fillId="0" borderId="15" xfId="0" applyBorder="1"/>
    <xf numFmtId="0" fontId="0" fillId="0" borderId="17" xfId="0" applyBorder="1" applyAlignment="1">
      <alignment horizontal="center"/>
    </xf>
    <xf numFmtId="0" fontId="0" fillId="0" borderId="23" xfId="0" applyBorder="1" applyAlignment="1">
      <alignment horizontal="center"/>
    </xf>
    <xf numFmtId="1" fontId="0" fillId="6" borderId="21" xfId="0" applyNumberFormat="1" applyFill="1" applyBorder="1" applyAlignment="1">
      <alignment horizontal="center"/>
    </xf>
    <xf numFmtId="0" fontId="1" fillId="2" borderId="6" xfId="0" applyFont="1" applyFill="1" applyBorder="1"/>
    <xf numFmtId="0" fontId="1" fillId="3" borderId="8" xfId="0" applyFont="1" applyFill="1" applyBorder="1" applyAlignment="1">
      <alignment horizontal="center"/>
    </xf>
    <xf numFmtId="1" fontId="1" fillId="2" borderId="8" xfId="0" applyNumberFormat="1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2" fontId="1" fillId="2" borderId="8" xfId="0" applyNumberFormat="1" applyFont="1" applyFill="1" applyBorder="1" applyAlignment="1">
      <alignment horizontal="center"/>
    </xf>
    <xf numFmtId="2" fontId="1" fillId="2" borderId="9" xfId="0" applyNumberFormat="1" applyFont="1" applyFill="1" applyBorder="1" applyAlignment="1">
      <alignment horizontal="center"/>
    </xf>
    <xf numFmtId="2" fontId="0" fillId="4" borderId="33" xfId="0" applyNumberFormat="1" applyFill="1" applyBorder="1" applyAlignment="1">
      <alignment horizontal="center"/>
    </xf>
    <xf numFmtId="1" fontId="0" fillId="6" borderId="6" xfId="0" applyNumberFormat="1" applyFill="1" applyBorder="1" applyAlignment="1">
      <alignment horizontal="center"/>
    </xf>
    <xf numFmtId="0" fontId="0" fillId="7" borderId="34" xfId="0" applyFill="1" applyBorder="1" applyAlignment="1">
      <alignment horizontal="center"/>
    </xf>
    <xf numFmtId="0" fontId="0" fillId="7" borderId="35" xfId="0" applyFill="1" applyBorder="1" applyAlignment="1">
      <alignment horizontal="center"/>
    </xf>
    <xf numFmtId="0" fontId="0" fillId="7" borderId="30" xfId="0" applyFill="1" applyBorder="1" applyAlignment="1">
      <alignment horizontal="center"/>
    </xf>
    <xf numFmtId="0" fontId="0" fillId="4" borderId="30" xfId="0" applyFill="1" applyBorder="1" applyAlignment="1">
      <alignment horizontal="center"/>
    </xf>
    <xf numFmtId="2" fontId="5" fillId="7" borderId="30" xfId="0" applyNumberFormat="1" applyFont="1" applyFill="1" applyBorder="1" applyAlignment="1">
      <alignment horizontal="center"/>
    </xf>
    <xf numFmtId="2" fontId="0" fillId="7" borderId="30" xfId="0" applyNumberFormat="1" applyFill="1" applyBorder="1" applyAlignment="1">
      <alignment horizontal="center"/>
    </xf>
    <xf numFmtId="0" fontId="6" fillId="4" borderId="36" xfId="0" applyFont="1" applyFill="1" applyBorder="1" applyAlignment="1">
      <alignment horizontal="center"/>
    </xf>
    <xf numFmtId="2" fontId="5" fillId="4" borderId="37" xfId="0" applyNumberFormat="1" applyFont="1" applyFill="1" applyBorder="1" applyAlignment="1">
      <alignment horizontal="center"/>
    </xf>
    <xf numFmtId="1" fontId="0" fillId="6" borderId="34" xfId="0" applyNumberFormat="1" applyFill="1" applyBorder="1" applyAlignment="1">
      <alignment horizontal="center"/>
    </xf>
    <xf numFmtId="0" fontId="0" fillId="0" borderId="38" xfId="0" applyBorder="1"/>
    <xf numFmtId="0" fontId="0" fillId="0" borderId="39" xfId="0" applyBorder="1"/>
    <xf numFmtId="2" fontId="1" fillId="0" borderId="39" xfId="0" applyNumberFormat="1" applyFont="1" applyBorder="1" applyAlignment="1">
      <alignment horizontal="center"/>
    </xf>
    <xf numFmtId="0" fontId="5" fillId="0" borderId="39" xfId="0" applyFont="1" applyBorder="1"/>
    <xf numFmtId="0" fontId="0" fillId="0" borderId="40" xfId="0" applyBorder="1"/>
    <xf numFmtId="2" fontId="0" fillId="0" borderId="40" xfId="0" applyNumberFormat="1" applyBorder="1"/>
    <xf numFmtId="0" fontId="0" fillId="0" borderId="41" xfId="0" applyBorder="1" applyAlignment="1">
      <alignment horizontal="center"/>
    </xf>
    <xf numFmtId="2" fontId="1" fillId="0" borderId="40" xfId="0" applyNumberFormat="1" applyFont="1" applyBorder="1" applyAlignment="1">
      <alignment horizontal="center"/>
    </xf>
    <xf numFmtId="0" fontId="0" fillId="0" borderId="41" xfId="0" applyBorder="1"/>
    <xf numFmtId="2" fontId="5" fillId="0" borderId="41" xfId="0" applyNumberFormat="1" applyFont="1" applyBorder="1" applyAlignment="1">
      <alignment horizontal="center"/>
    </xf>
    <xf numFmtId="0" fontId="0" fillId="0" borderId="37" xfId="0" applyBorder="1"/>
    <xf numFmtId="0" fontId="0" fillId="0" borderId="42" xfId="0" applyBorder="1"/>
    <xf numFmtId="2" fontId="5" fillId="0" borderId="42" xfId="0" applyNumberFormat="1" applyFont="1" applyBorder="1" applyAlignment="1">
      <alignment horizontal="center"/>
    </xf>
    <xf numFmtId="0" fontId="0" fillId="0" borderId="43" xfId="0" applyBorder="1"/>
    <xf numFmtId="0" fontId="1" fillId="0" borderId="40" xfId="0" applyFont="1" applyBorder="1"/>
    <xf numFmtId="2" fontId="5" fillId="0" borderId="39" xfId="0" applyNumberFormat="1" applyFont="1" applyBorder="1" applyAlignment="1">
      <alignment horizontal="center"/>
    </xf>
    <xf numFmtId="0" fontId="7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7:EQ39"/>
  <sheetViews>
    <sheetView tabSelected="1" zoomScale="110" zoomScaleNormal="110" workbookViewId="0">
      <selection activeCell="B10" sqref="B10"/>
    </sheetView>
  </sheetViews>
  <sheetFormatPr baseColWidth="10" defaultRowHeight="15" x14ac:dyDescent="0.2"/>
  <cols>
    <col min="1" max="1" width="26" bestFit="1" customWidth="1"/>
    <col min="2" max="2" width="13.33203125" customWidth="1"/>
    <col min="3" max="3" width="15.33203125" bestFit="1" customWidth="1"/>
    <col min="4" max="4" width="16.83203125" bestFit="1" customWidth="1"/>
    <col min="5" max="5" width="11.6640625" customWidth="1"/>
    <col min="6" max="6" width="7.5" customWidth="1"/>
    <col min="7" max="7" width="9.5" customWidth="1"/>
    <col min="8" max="8" width="10.5" customWidth="1"/>
    <col min="9" max="9" width="13.33203125" bestFit="1" customWidth="1"/>
    <col min="10" max="10" width="11.83203125" customWidth="1"/>
    <col min="11" max="11" width="8.1640625" customWidth="1"/>
    <col min="12" max="12" width="8" bestFit="1" customWidth="1"/>
    <col min="13" max="13" width="13.6640625" bestFit="1" customWidth="1"/>
    <col min="14" max="15" width="12.33203125" bestFit="1" customWidth="1"/>
    <col min="16" max="17" width="8.5" customWidth="1"/>
    <col min="18" max="18" width="10.83203125" bestFit="1" customWidth="1"/>
    <col min="19" max="19" width="10.33203125" bestFit="1" customWidth="1"/>
    <col min="20" max="20" width="12.33203125" customWidth="1"/>
  </cols>
  <sheetData>
    <row r="7" spans="1:22" x14ac:dyDescent="0.2">
      <c r="A7" s="1" t="s">
        <v>0</v>
      </c>
      <c r="J7" s="2" t="s">
        <v>47</v>
      </c>
      <c r="K7" s="2"/>
      <c r="M7" s="2"/>
    </row>
    <row r="8" spans="1:22" ht="16" thickBot="1" x14ac:dyDescent="0.25"/>
    <row r="9" spans="1:22" ht="16" thickBot="1" x14ac:dyDescent="0.25">
      <c r="A9" s="3" t="s">
        <v>1</v>
      </c>
      <c r="B9" s="4" t="s">
        <v>2</v>
      </c>
      <c r="C9" s="5" t="s">
        <v>3</v>
      </c>
      <c r="D9" s="6" t="s">
        <v>4</v>
      </c>
      <c r="E9" s="7" t="s">
        <v>5</v>
      </c>
      <c r="F9" s="8" t="s">
        <v>6</v>
      </c>
      <c r="G9" s="8" t="s">
        <v>7</v>
      </c>
      <c r="H9" s="8" t="s">
        <v>8</v>
      </c>
      <c r="I9" s="9" t="s">
        <v>9</v>
      </c>
      <c r="J9" s="9" t="s">
        <v>10</v>
      </c>
      <c r="K9" s="9" t="s">
        <v>11</v>
      </c>
      <c r="L9" s="9" t="s">
        <v>12</v>
      </c>
      <c r="M9" s="9" t="s">
        <v>13</v>
      </c>
      <c r="N9" s="9" t="s">
        <v>14</v>
      </c>
      <c r="O9" s="9" t="s">
        <v>15</v>
      </c>
      <c r="P9" s="9" t="s">
        <v>16</v>
      </c>
      <c r="Q9" s="9"/>
      <c r="R9" s="8" t="s">
        <v>17</v>
      </c>
      <c r="S9" s="8" t="s">
        <v>18</v>
      </c>
      <c r="T9" s="10" t="s">
        <v>19</v>
      </c>
      <c r="U9" s="11" t="s">
        <v>20</v>
      </c>
      <c r="V9" s="12" t="s">
        <v>21</v>
      </c>
    </row>
    <row r="10" spans="1:22" x14ac:dyDescent="0.2">
      <c r="A10" s="13" t="s">
        <v>22</v>
      </c>
      <c r="B10" s="14"/>
      <c r="C10" s="15" t="e">
        <f>B10/$B31*C31</f>
        <v>#DIV/0!</v>
      </c>
      <c r="D10" s="16">
        <v>1.023E-2</v>
      </c>
      <c r="E10" s="17">
        <f>B10*3%</f>
        <v>0</v>
      </c>
      <c r="F10" s="18">
        <f>B10*71%</f>
        <v>0</v>
      </c>
      <c r="G10" s="18">
        <f>B10*26%</f>
        <v>0</v>
      </c>
      <c r="H10" s="18">
        <f t="shared" ref="H10:H16" si="0">G10</f>
        <v>0</v>
      </c>
      <c r="I10" s="19"/>
      <c r="J10" s="19"/>
      <c r="K10" s="19"/>
      <c r="L10" s="18"/>
      <c r="M10" s="19"/>
      <c r="N10" s="20"/>
      <c r="O10" s="19"/>
      <c r="P10" s="19"/>
      <c r="Q10" s="19"/>
      <c r="R10" s="18">
        <f t="shared" ref="R10:R15" si="1">F10+G10</f>
        <v>0</v>
      </c>
      <c r="S10" s="18">
        <f>F10/2*16</f>
        <v>0</v>
      </c>
      <c r="T10" s="21">
        <f t="shared" ref="T10:T17" si="2">F10/2</f>
        <v>0</v>
      </c>
      <c r="U10" s="22" t="e">
        <f t="shared" ref="U10:U25" si="3">IF(C10="","",C10*D10)</f>
        <v>#DIV/0!</v>
      </c>
      <c r="V10" s="23">
        <f>B10</f>
        <v>0</v>
      </c>
    </row>
    <row r="11" spans="1:22" x14ac:dyDescent="0.2">
      <c r="A11" s="24" t="s">
        <v>23</v>
      </c>
      <c r="B11" s="25"/>
      <c r="C11" s="26" t="e">
        <f>B11/$B31*C31</f>
        <v>#DIV/0!</v>
      </c>
      <c r="D11" s="27">
        <v>5.4799999999999996E-3</v>
      </c>
      <c r="E11" s="28">
        <f>B11*3.3%</f>
        <v>0</v>
      </c>
      <c r="F11" s="29">
        <f>B11*95.85%</f>
        <v>0</v>
      </c>
      <c r="G11" s="30">
        <f>B11*0.88%</f>
        <v>0</v>
      </c>
      <c r="H11" s="30">
        <f t="shared" si="0"/>
        <v>0</v>
      </c>
      <c r="I11" s="29"/>
      <c r="J11" s="29"/>
      <c r="K11" s="29"/>
      <c r="L11" s="29"/>
      <c r="M11" s="29"/>
      <c r="N11" s="31"/>
      <c r="O11" s="29"/>
      <c r="P11" s="29"/>
      <c r="Q11" s="29"/>
      <c r="R11" s="30">
        <f>F11+G11</f>
        <v>0</v>
      </c>
      <c r="S11" s="30">
        <f t="shared" ref="S11:S17" si="4">F11/2*16%</f>
        <v>0</v>
      </c>
      <c r="T11" s="32">
        <f t="shared" si="2"/>
        <v>0</v>
      </c>
      <c r="U11" s="22" t="e">
        <f t="shared" si="3"/>
        <v>#DIV/0!</v>
      </c>
      <c r="V11" s="23">
        <f>B11*3.59</f>
        <v>0</v>
      </c>
    </row>
    <row r="12" spans="1:22" x14ac:dyDescent="0.2">
      <c r="A12" s="24" t="s">
        <v>24</v>
      </c>
      <c r="B12" s="25"/>
      <c r="C12" s="26" t="e">
        <f>B12/$B31*C31</f>
        <v>#DIV/0!</v>
      </c>
      <c r="D12" s="27">
        <v>8.9999999999999998E-4</v>
      </c>
      <c r="E12" s="28">
        <f>B12*88%</f>
        <v>0</v>
      </c>
      <c r="F12" s="29">
        <f>B12*8.4%</f>
        <v>0</v>
      </c>
      <c r="G12" s="29">
        <f>B12*3.6%</f>
        <v>0</v>
      </c>
      <c r="H12" s="29">
        <f t="shared" si="0"/>
        <v>0</v>
      </c>
      <c r="I12" s="29"/>
      <c r="J12" s="29"/>
      <c r="K12" s="29"/>
      <c r="L12" s="29"/>
      <c r="M12" s="29"/>
      <c r="N12" s="31"/>
      <c r="O12" s="29"/>
      <c r="P12" s="29"/>
      <c r="Q12" s="29"/>
      <c r="R12" s="29">
        <f t="shared" si="1"/>
        <v>0</v>
      </c>
      <c r="S12" s="30">
        <f t="shared" si="4"/>
        <v>0</v>
      </c>
      <c r="T12" s="33">
        <f t="shared" si="2"/>
        <v>0</v>
      </c>
      <c r="U12" s="22" t="e">
        <f t="shared" si="3"/>
        <v>#DIV/0!</v>
      </c>
      <c r="V12" s="23">
        <f>B12*0.057</f>
        <v>0</v>
      </c>
    </row>
    <row r="13" spans="1:22" x14ac:dyDescent="0.2">
      <c r="A13" s="24" t="s">
        <v>25</v>
      </c>
      <c r="B13" s="25"/>
      <c r="C13" s="26" t="e">
        <f>B13/$B31*C31</f>
        <v>#DIV/0!</v>
      </c>
      <c r="D13" s="27"/>
      <c r="E13" s="28">
        <f>B13*91%</f>
        <v>0</v>
      </c>
      <c r="F13" s="29">
        <f>B13*9.24%</f>
        <v>0</v>
      </c>
      <c r="G13" s="29">
        <f>B13*1.6%</f>
        <v>0</v>
      </c>
      <c r="H13" s="29">
        <f>G13</f>
        <v>0</v>
      </c>
      <c r="I13" s="29"/>
      <c r="J13" s="29"/>
      <c r="K13" s="29"/>
      <c r="L13" s="29"/>
      <c r="M13" s="29"/>
      <c r="N13" s="31"/>
      <c r="O13" s="29"/>
      <c r="P13" s="29"/>
      <c r="Q13" s="29"/>
      <c r="R13" s="29">
        <f t="shared" si="1"/>
        <v>0</v>
      </c>
      <c r="S13" s="29">
        <f t="shared" si="4"/>
        <v>0</v>
      </c>
      <c r="T13" s="33">
        <f t="shared" si="2"/>
        <v>0</v>
      </c>
      <c r="U13" s="22" t="e">
        <f t="shared" si="3"/>
        <v>#DIV/0!</v>
      </c>
      <c r="V13" s="23">
        <f>B13*0.029</f>
        <v>0</v>
      </c>
    </row>
    <row r="14" spans="1:22" x14ac:dyDescent="0.2">
      <c r="A14" s="24" t="s">
        <v>26</v>
      </c>
      <c r="B14" s="25"/>
      <c r="C14" s="26" t="e">
        <f>B14/$B31*C31</f>
        <v>#DIV/0!</v>
      </c>
      <c r="D14" s="27">
        <v>4.79E-3</v>
      </c>
      <c r="E14" s="28">
        <f>B14*59.02%</f>
        <v>0</v>
      </c>
      <c r="F14" s="29">
        <f>B14*5.98%</f>
        <v>0</v>
      </c>
      <c r="G14" s="29">
        <f>B14*35%</f>
        <v>0</v>
      </c>
      <c r="H14" s="29">
        <f t="shared" si="0"/>
        <v>0</v>
      </c>
      <c r="I14" s="29"/>
      <c r="J14" s="29"/>
      <c r="K14" s="29"/>
      <c r="L14" s="29"/>
      <c r="M14" s="29"/>
      <c r="N14" s="31"/>
      <c r="O14" s="29"/>
      <c r="P14" s="29"/>
      <c r="Q14" s="29"/>
      <c r="R14" s="29">
        <f t="shared" si="1"/>
        <v>0</v>
      </c>
      <c r="S14" s="29">
        <f t="shared" si="4"/>
        <v>0</v>
      </c>
      <c r="T14" s="33">
        <f t="shared" si="2"/>
        <v>0</v>
      </c>
      <c r="U14" s="22" t="e">
        <f t="shared" si="3"/>
        <v>#DIV/0!</v>
      </c>
      <c r="V14" s="23">
        <f>B14*3.35</f>
        <v>0</v>
      </c>
    </row>
    <row r="15" spans="1:22" x14ac:dyDescent="0.2">
      <c r="A15" s="24" t="s">
        <v>27</v>
      </c>
      <c r="B15" s="25"/>
      <c r="C15" s="26" t="e">
        <f>B15/$B31*C31</f>
        <v>#DIV/0!</v>
      </c>
      <c r="D15" s="27"/>
      <c r="E15" s="28">
        <f>B15*63.5%</f>
        <v>0</v>
      </c>
      <c r="F15" s="29">
        <f>B15*6.44%</f>
        <v>0</v>
      </c>
      <c r="G15" s="29">
        <f>B15*30%</f>
        <v>0</v>
      </c>
      <c r="H15" s="29">
        <f t="shared" si="0"/>
        <v>0</v>
      </c>
      <c r="I15" s="29"/>
      <c r="J15" s="29"/>
      <c r="K15" s="29"/>
      <c r="L15" s="29"/>
      <c r="M15" s="29"/>
      <c r="N15" s="31"/>
      <c r="O15" s="29"/>
      <c r="P15" s="29"/>
      <c r="Q15" s="29"/>
      <c r="R15" s="30">
        <f t="shared" si="1"/>
        <v>0</v>
      </c>
      <c r="S15" s="30">
        <f t="shared" si="4"/>
        <v>0</v>
      </c>
      <c r="T15" s="32">
        <f t="shared" si="2"/>
        <v>0</v>
      </c>
      <c r="U15" s="22" t="e">
        <f t="shared" si="3"/>
        <v>#DIV/0!</v>
      </c>
      <c r="V15" s="23">
        <f>B15*3.12</f>
        <v>0</v>
      </c>
    </row>
    <row r="16" spans="1:22" x14ac:dyDescent="0.2">
      <c r="A16" s="24" t="s">
        <v>28</v>
      </c>
      <c r="B16" s="25"/>
      <c r="C16" s="26" t="e">
        <f>B16/$B31*C31</f>
        <v>#DIV/0!</v>
      </c>
      <c r="D16" s="27">
        <v>7.9799999999999992E-3</v>
      </c>
      <c r="E16" s="28">
        <f>B16*16%</f>
        <v>0</v>
      </c>
      <c r="F16" s="29">
        <f>B16*2%</f>
        <v>0</v>
      </c>
      <c r="G16" s="29">
        <f>B16*82%</f>
        <v>0</v>
      </c>
      <c r="H16" s="29">
        <f t="shared" si="0"/>
        <v>0</v>
      </c>
      <c r="I16" s="29"/>
      <c r="J16" s="29"/>
      <c r="K16" s="29"/>
      <c r="L16" s="29"/>
      <c r="M16" s="29"/>
      <c r="N16" s="31"/>
      <c r="O16" s="29"/>
      <c r="P16" s="29"/>
      <c r="Q16" s="29"/>
      <c r="R16" s="29">
        <f>F16+G16</f>
        <v>0</v>
      </c>
      <c r="S16" s="29">
        <f t="shared" si="4"/>
        <v>0</v>
      </c>
      <c r="T16" s="33">
        <f t="shared" si="2"/>
        <v>0</v>
      </c>
      <c r="U16" s="22" t="e">
        <f t="shared" si="3"/>
        <v>#DIV/0!</v>
      </c>
      <c r="V16" s="23">
        <f>B16*7.41</f>
        <v>0</v>
      </c>
    </row>
    <row r="17" spans="1:147" x14ac:dyDescent="0.2">
      <c r="A17" s="24" t="s">
        <v>29</v>
      </c>
      <c r="B17" s="25"/>
      <c r="C17" s="26" t="e">
        <f>B17/$B31*C31</f>
        <v>#DIV/0!</v>
      </c>
      <c r="D17" s="27">
        <v>2.8E-3</v>
      </c>
      <c r="E17" s="28">
        <f>B17*70%</f>
        <v>0</v>
      </c>
      <c r="F17" s="29">
        <f>B17*21%</f>
        <v>0</v>
      </c>
      <c r="G17" s="29">
        <f>B17*9%</f>
        <v>0</v>
      </c>
      <c r="H17" s="29">
        <f>G17</f>
        <v>0</v>
      </c>
      <c r="I17" s="29"/>
      <c r="J17" s="29"/>
      <c r="K17" s="29"/>
      <c r="L17" s="29"/>
      <c r="M17" s="29"/>
      <c r="N17" s="31"/>
      <c r="O17" s="29"/>
      <c r="P17" s="29"/>
      <c r="Q17" s="29"/>
      <c r="R17" s="29">
        <f>F17+G17</f>
        <v>0</v>
      </c>
      <c r="S17" s="29">
        <f t="shared" si="4"/>
        <v>0</v>
      </c>
      <c r="T17" s="33">
        <f t="shared" si="2"/>
        <v>0</v>
      </c>
      <c r="U17" s="22" t="e">
        <f t="shared" si="3"/>
        <v>#DIV/0!</v>
      </c>
      <c r="V17" s="23">
        <f>B17*1.33</f>
        <v>0</v>
      </c>
    </row>
    <row r="18" spans="1:147" ht="16" thickBot="1" x14ac:dyDescent="0.25">
      <c r="A18" s="34" t="s">
        <v>30</v>
      </c>
      <c r="B18" s="35"/>
      <c r="C18" s="36" t="e">
        <f>B18/$B31*C31</f>
        <v>#DIV/0!</v>
      </c>
      <c r="D18" s="37">
        <v>3.5999999999999999E-3</v>
      </c>
      <c r="E18" s="38">
        <f>B18*24%</f>
        <v>0</v>
      </c>
      <c r="F18" s="39">
        <f>B18*25.5%</f>
        <v>0</v>
      </c>
      <c r="G18" s="39">
        <f>B18*10%</f>
        <v>0</v>
      </c>
      <c r="H18" s="39">
        <f>G18</f>
        <v>0</v>
      </c>
      <c r="I18" s="39"/>
      <c r="J18" s="39">
        <f>B18*40.5%</f>
        <v>0</v>
      </c>
      <c r="K18" s="39"/>
      <c r="L18" s="39"/>
      <c r="M18" s="39"/>
      <c r="N18" s="40"/>
      <c r="O18" s="39"/>
      <c r="P18" s="39"/>
      <c r="Q18" s="39"/>
      <c r="R18" s="39">
        <f>F17+G17+J17</f>
        <v>0</v>
      </c>
      <c r="S18" s="39">
        <f>J18+(F18/2*16)</f>
        <v>0</v>
      </c>
      <c r="T18" s="41">
        <f>S18</f>
        <v>0</v>
      </c>
      <c r="U18" s="22" t="e">
        <f t="shared" si="3"/>
        <v>#DIV/0!</v>
      </c>
      <c r="V18" s="23">
        <f>B18*3.21</f>
        <v>0</v>
      </c>
    </row>
    <row r="19" spans="1:147" ht="16" thickBot="1" x14ac:dyDescent="0.25">
      <c r="A19" s="42" t="s">
        <v>31</v>
      </c>
      <c r="B19" s="43"/>
      <c r="C19" s="44" t="e">
        <f>B19/$B31*C31</f>
        <v>#DIV/0!</v>
      </c>
      <c r="D19" s="45"/>
      <c r="E19" s="46">
        <f>B19*50%</f>
        <v>0</v>
      </c>
      <c r="F19" s="47"/>
      <c r="G19" s="47"/>
      <c r="H19" s="47">
        <f>B19*33%</f>
        <v>0</v>
      </c>
      <c r="I19" s="47">
        <f>B19</f>
        <v>0</v>
      </c>
      <c r="J19" s="47"/>
      <c r="K19" s="47"/>
      <c r="L19" s="47"/>
      <c r="M19" s="47"/>
      <c r="N19" s="48"/>
      <c r="O19" s="47"/>
      <c r="P19" s="47"/>
      <c r="Q19" s="47"/>
      <c r="R19" s="47">
        <f>B19/2</f>
        <v>0</v>
      </c>
      <c r="S19" s="49">
        <f>R19*0.5%</f>
        <v>0</v>
      </c>
      <c r="T19" s="50">
        <f>S19</f>
        <v>0</v>
      </c>
      <c r="U19" s="22" t="e">
        <f t="shared" si="3"/>
        <v>#DIV/0!</v>
      </c>
      <c r="V19" s="23">
        <f>B19*2.95</f>
        <v>0</v>
      </c>
    </row>
    <row r="20" spans="1:147" x14ac:dyDescent="0.2">
      <c r="A20" s="51" t="s">
        <v>10</v>
      </c>
      <c r="B20" s="14"/>
      <c r="C20" s="15" t="e">
        <f>B20/$B31*C31</f>
        <v>#DIV/0!</v>
      </c>
      <c r="D20" s="16">
        <v>9.7999999999999997E-4</v>
      </c>
      <c r="E20" s="17">
        <f>B20*0.1%</f>
        <v>0</v>
      </c>
      <c r="F20" s="52"/>
      <c r="G20" s="52"/>
      <c r="H20" s="52">
        <f>B20*33%</f>
        <v>0</v>
      </c>
      <c r="I20" s="52"/>
      <c r="J20" s="52">
        <f>B20</f>
        <v>0</v>
      </c>
      <c r="K20" s="52"/>
      <c r="L20" s="52"/>
      <c r="M20" s="52"/>
      <c r="N20" s="53"/>
      <c r="O20" s="52"/>
      <c r="P20" s="52"/>
      <c r="Q20" s="52"/>
      <c r="R20" s="54">
        <f>J20*99.9%</f>
        <v>0</v>
      </c>
      <c r="S20" s="54">
        <f>R20</f>
        <v>0</v>
      </c>
      <c r="T20" s="55">
        <f>R20</f>
        <v>0</v>
      </c>
      <c r="U20" s="22" t="e">
        <f t="shared" si="3"/>
        <v>#DIV/0!</v>
      </c>
      <c r="V20" s="23">
        <f>B20*3.96</f>
        <v>0</v>
      </c>
    </row>
    <row r="21" spans="1:147" x14ac:dyDescent="0.2">
      <c r="A21" s="56" t="s">
        <v>11</v>
      </c>
      <c r="B21" s="57"/>
      <c r="C21" s="26" t="e">
        <f>B21/$B31*C31</f>
        <v>#DIV/0!</v>
      </c>
      <c r="D21" s="58">
        <v>1.33E-3</v>
      </c>
      <c r="E21" s="59">
        <f>B21*8%</f>
        <v>0</v>
      </c>
      <c r="F21" s="60"/>
      <c r="G21" s="60"/>
      <c r="H21" s="60"/>
      <c r="I21" s="60"/>
      <c r="J21" s="60"/>
      <c r="K21" s="60">
        <f>B21</f>
        <v>0</v>
      </c>
      <c r="L21" s="61"/>
      <c r="M21" s="60"/>
      <c r="N21" s="62"/>
      <c r="O21" s="60"/>
      <c r="P21" s="60"/>
      <c r="Q21" s="60"/>
      <c r="R21" s="60">
        <f>K21*92%</f>
        <v>0</v>
      </c>
      <c r="S21" s="60">
        <f>K21*74%</f>
        <v>0</v>
      </c>
      <c r="T21" s="63">
        <f>B21*1.9</f>
        <v>0</v>
      </c>
      <c r="U21" s="22" t="e">
        <f t="shared" si="3"/>
        <v>#DIV/0!</v>
      </c>
      <c r="V21" s="23">
        <f>B21*3.8</f>
        <v>0</v>
      </c>
    </row>
    <row r="22" spans="1:147" s="66" customFormat="1" x14ac:dyDescent="0.2">
      <c r="A22" s="64" t="s">
        <v>32</v>
      </c>
      <c r="B22" s="25"/>
      <c r="C22" s="26" t="e">
        <f>B22/$B31*C31</f>
        <v>#DIV/0!</v>
      </c>
      <c r="D22" s="27">
        <v>6.1599999999999997E-3</v>
      </c>
      <c r="E22" s="28">
        <f>B22*5%</f>
        <v>0</v>
      </c>
      <c r="F22" s="62"/>
      <c r="G22" s="62"/>
      <c r="H22" s="62"/>
      <c r="I22" s="62"/>
      <c r="J22" s="62"/>
      <c r="K22" s="62"/>
      <c r="L22" s="61">
        <f>B22</f>
        <v>0</v>
      </c>
      <c r="M22" s="62"/>
      <c r="N22" s="62"/>
      <c r="O22" s="62"/>
      <c r="P22" s="62"/>
      <c r="Q22" s="62"/>
      <c r="R22" s="61">
        <f>B22*95%</f>
        <v>0</v>
      </c>
      <c r="S22" s="61">
        <f>B22*47%</f>
        <v>0</v>
      </c>
      <c r="T22" s="65">
        <f>B22*0.9%</f>
        <v>0</v>
      </c>
      <c r="U22" s="22" t="e">
        <f t="shared" si="3"/>
        <v>#DIV/0!</v>
      </c>
      <c r="V22" s="23">
        <f>B22*3.97</f>
        <v>0</v>
      </c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</row>
    <row r="23" spans="1:147" x14ac:dyDescent="0.2">
      <c r="A23" s="67" t="s">
        <v>33</v>
      </c>
      <c r="B23" s="68"/>
      <c r="C23" s="26" t="e">
        <f>B23/$B31*C31</f>
        <v>#DIV/0!</v>
      </c>
      <c r="D23" s="69">
        <v>5.9899999999999997E-3</v>
      </c>
      <c r="E23" s="70">
        <f>B23*5%</f>
        <v>0</v>
      </c>
      <c r="F23" s="71"/>
      <c r="G23" s="72"/>
      <c r="H23" s="72"/>
      <c r="I23" s="72"/>
      <c r="J23" s="72"/>
      <c r="K23" s="72"/>
      <c r="L23" s="61"/>
      <c r="M23" s="72">
        <f>B23</f>
        <v>0</v>
      </c>
      <c r="N23" s="62"/>
      <c r="O23" s="72"/>
      <c r="P23" s="72"/>
      <c r="Q23" s="72"/>
      <c r="R23" s="72">
        <f>M23*95%</f>
        <v>0</v>
      </c>
      <c r="S23" s="72">
        <f>M23*20%</f>
        <v>0</v>
      </c>
      <c r="T23" s="73">
        <f>B23*0.9</f>
        <v>0</v>
      </c>
      <c r="U23" s="22" t="e">
        <f t="shared" si="3"/>
        <v>#DIV/0!</v>
      </c>
      <c r="V23" s="23">
        <f>B23*3.8</f>
        <v>0</v>
      </c>
    </row>
    <row r="24" spans="1:147" x14ac:dyDescent="0.2">
      <c r="A24" s="64" t="s">
        <v>14</v>
      </c>
      <c r="B24" s="25"/>
      <c r="C24" s="26" t="e">
        <f>B24/$B31*C31</f>
        <v>#DIV/0!</v>
      </c>
      <c r="D24" s="27">
        <v>5.385E-3</v>
      </c>
      <c r="E24" s="28">
        <f>B24*22%</f>
        <v>0</v>
      </c>
      <c r="F24" s="61"/>
      <c r="G24" s="61"/>
      <c r="H24" s="61"/>
      <c r="I24" s="61"/>
      <c r="J24" s="61"/>
      <c r="K24" s="61"/>
      <c r="L24" s="61"/>
      <c r="M24" s="61"/>
      <c r="N24" s="61">
        <f>B24</f>
        <v>0</v>
      </c>
      <c r="O24" s="61"/>
      <c r="P24" s="61"/>
      <c r="Q24" s="61"/>
      <c r="R24" s="61">
        <f>B24*78%</f>
        <v>0</v>
      </c>
      <c r="S24" s="61">
        <f>B24*125%</f>
        <v>0</v>
      </c>
      <c r="T24" s="65">
        <f>B24*1.9</f>
        <v>0</v>
      </c>
      <c r="U24" s="22" t="e">
        <f t="shared" si="3"/>
        <v>#DIV/0!</v>
      </c>
      <c r="V24" s="23">
        <f>B24*4</f>
        <v>0</v>
      </c>
    </row>
    <row r="25" spans="1:147" ht="16" thickBot="1" x14ac:dyDescent="0.25">
      <c r="A25" s="74" t="s">
        <v>34</v>
      </c>
      <c r="B25" s="75"/>
      <c r="C25" s="76" t="e">
        <f>B25/$B31*C31</f>
        <v>#DIV/0!</v>
      </c>
      <c r="D25" s="77"/>
      <c r="E25" s="78"/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79">
        <f>B25*85%</f>
        <v>0</v>
      </c>
      <c r="S25" s="79">
        <f>B25*130%</f>
        <v>0</v>
      </c>
      <c r="T25" s="80">
        <f>R25*1.9</f>
        <v>0</v>
      </c>
      <c r="U25" s="22" t="e">
        <f t="shared" si="3"/>
        <v>#DIV/0!</v>
      </c>
      <c r="V25" s="23">
        <f>B25*3.04</f>
        <v>0</v>
      </c>
    </row>
    <row r="26" spans="1:147" x14ac:dyDescent="0.2">
      <c r="A26" s="81" t="s">
        <v>15</v>
      </c>
      <c r="B26" s="68"/>
      <c r="C26" s="82" t="e">
        <f>B26/$B31*C31</f>
        <v>#DIV/0!</v>
      </c>
      <c r="D26" s="69">
        <v>2.1999999999999999E-2</v>
      </c>
      <c r="E26" s="70"/>
      <c r="F26" s="83"/>
      <c r="G26" s="83"/>
      <c r="H26" s="83"/>
      <c r="I26" s="83"/>
      <c r="J26" s="83"/>
      <c r="K26" s="83"/>
      <c r="L26" s="83"/>
      <c r="M26" s="83"/>
      <c r="N26" s="83"/>
      <c r="O26" s="83">
        <f>B26</f>
        <v>0</v>
      </c>
      <c r="P26" s="83"/>
      <c r="Q26" s="83"/>
      <c r="R26" s="83">
        <f>O26</f>
        <v>0</v>
      </c>
      <c r="S26" s="83"/>
      <c r="T26" s="84"/>
      <c r="U26" s="22" t="e">
        <f>IF(C26="","",C26*D26)</f>
        <v>#DIV/0!</v>
      </c>
      <c r="V26" s="23"/>
    </row>
    <row r="27" spans="1:147" x14ac:dyDescent="0.2">
      <c r="A27" s="85"/>
      <c r="B27" s="25"/>
      <c r="C27" s="26" t="e">
        <f>B27/$B31*C31</f>
        <v>#DIV/0!</v>
      </c>
      <c r="D27" s="27"/>
      <c r="E27" s="28">
        <f>B27*88%</f>
        <v>0</v>
      </c>
      <c r="F27" s="86"/>
      <c r="G27" s="86"/>
      <c r="H27" s="86"/>
      <c r="I27" s="86"/>
      <c r="J27" s="86"/>
      <c r="K27" s="86"/>
      <c r="L27" s="86"/>
      <c r="M27" s="86"/>
      <c r="N27" s="86"/>
      <c r="O27" s="86"/>
      <c r="P27" s="86">
        <f>B27</f>
        <v>0</v>
      </c>
      <c r="Q27" s="86"/>
      <c r="R27" s="86">
        <f>B27*12%</f>
        <v>0</v>
      </c>
      <c r="S27" s="86">
        <f>P27*8%</f>
        <v>0</v>
      </c>
      <c r="T27" s="87">
        <f>S27</f>
        <v>0</v>
      </c>
      <c r="U27" s="22"/>
      <c r="V27" s="23">
        <f>P27*0.33</f>
        <v>0</v>
      </c>
    </row>
    <row r="28" spans="1:147" x14ac:dyDescent="0.2">
      <c r="A28" s="88"/>
      <c r="B28" s="25"/>
      <c r="C28" s="26" t="e">
        <f>B28/$B31*C31</f>
        <v>#DIV/0!</v>
      </c>
      <c r="D28" s="27"/>
      <c r="E28" s="28"/>
      <c r="F28" s="86"/>
      <c r="G28" s="86"/>
      <c r="H28" s="86"/>
      <c r="I28" s="86"/>
      <c r="J28" s="86"/>
      <c r="K28" s="86"/>
      <c r="L28" s="86"/>
      <c r="M28" s="86"/>
      <c r="N28" s="86"/>
      <c r="O28" s="86"/>
      <c r="P28" s="86"/>
      <c r="Q28" s="86">
        <f>B28</f>
        <v>0</v>
      </c>
      <c r="R28" s="86">
        <f>Q28</f>
        <v>0</v>
      </c>
      <c r="S28" s="86"/>
      <c r="T28" s="87"/>
      <c r="U28" s="22" t="e">
        <f>IF(C28="","",C28*D28)</f>
        <v>#DIV/0!</v>
      </c>
      <c r="V28" s="23"/>
    </row>
    <row r="29" spans="1:147" x14ac:dyDescent="0.2">
      <c r="A29" s="85"/>
      <c r="B29" s="25"/>
      <c r="C29" s="26" t="e">
        <f>B29/$B31*C31</f>
        <v>#DIV/0!</v>
      </c>
      <c r="D29" s="27"/>
      <c r="E29" s="28"/>
      <c r="F29" s="86"/>
      <c r="G29" s="86"/>
      <c r="H29" s="86"/>
      <c r="I29" s="86"/>
      <c r="J29" s="86"/>
      <c r="K29" s="86"/>
      <c r="L29" s="86"/>
      <c r="M29" s="86"/>
      <c r="N29" s="86"/>
      <c r="O29" s="86"/>
      <c r="P29" s="86"/>
      <c r="Q29" s="86"/>
      <c r="R29" s="86">
        <f>H29</f>
        <v>0</v>
      </c>
      <c r="S29" s="86"/>
      <c r="T29" s="87"/>
      <c r="U29" s="22" t="e">
        <f>IF(C29="","",C29*D29)</f>
        <v>#DIV/0!</v>
      </c>
      <c r="V29" s="23"/>
    </row>
    <row r="30" spans="1:147" ht="16" thickBot="1" x14ac:dyDescent="0.25">
      <c r="A30" s="89" t="s">
        <v>35</v>
      </c>
      <c r="B30" s="57"/>
      <c r="C30" s="36" t="e">
        <f>B30/$B31*C31</f>
        <v>#DIV/0!</v>
      </c>
      <c r="D30" s="58"/>
      <c r="E30" s="59">
        <f>B30</f>
        <v>0</v>
      </c>
      <c r="F30" s="90"/>
      <c r="G30" s="90"/>
      <c r="H30" s="90"/>
      <c r="I30" s="90"/>
      <c r="J30" s="90"/>
      <c r="K30" s="90"/>
      <c r="L30" s="90"/>
      <c r="M30" s="90"/>
      <c r="N30" s="90"/>
      <c r="O30" s="90"/>
      <c r="P30" s="90"/>
      <c r="Q30" s="90"/>
      <c r="R30" s="90"/>
      <c r="S30" s="90"/>
      <c r="T30" s="91"/>
      <c r="U30" s="22" t="e">
        <f>IF(C30="","",C30*D30)</f>
        <v>#DIV/0!</v>
      </c>
      <c r="V30" s="92"/>
    </row>
    <row r="31" spans="1:147" x14ac:dyDescent="0.2">
      <c r="A31" s="93" t="s">
        <v>36</v>
      </c>
      <c r="B31" s="14">
        <f>B30+B29+B27+B26+B24+B23+B22+B21+B20+B19+B18+B17+B16+B15+B14+B13+B12+B11+B10+B28+B25</f>
        <v>0</v>
      </c>
      <c r="C31" s="94">
        <v>1000</v>
      </c>
      <c r="D31" s="16"/>
      <c r="E31" s="95">
        <f>E30+E29+E27+E26+E24+E23+E22+E21+E20+E19+E17+E16+E15+E14+E12+E11+E10+E25</f>
        <v>0</v>
      </c>
      <c r="F31" s="96">
        <f>F11+F21+H23+F20+F19+F16+F14+F12+F29+F10+F15+F17+F27+F13+F24+F23+F22+F26+F18</f>
        <v>0</v>
      </c>
      <c r="G31" s="97">
        <f>G16+G14+G12+G15+G11+G10+G17+G18</f>
        <v>0</v>
      </c>
      <c r="H31" s="97">
        <f>H10+H11+H12+H13+H14+H15+H16+H17+H18+H19+H27+H29+H28</f>
        <v>0</v>
      </c>
      <c r="I31" s="96">
        <f>I19</f>
        <v>0</v>
      </c>
      <c r="J31" s="96">
        <f>J20</f>
        <v>0</v>
      </c>
      <c r="K31" s="96">
        <f>K21</f>
        <v>0</v>
      </c>
      <c r="L31" s="96">
        <f>B22</f>
        <v>0</v>
      </c>
      <c r="M31" s="96">
        <f>M23</f>
        <v>0</v>
      </c>
      <c r="N31" s="96">
        <f>N24</f>
        <v>0</v>
      </c>
      <c r="O31" s="96">
        <f>O26</f>
        <v>0</v>
      </c>
      <c r="P31" s="96">
        <f>P27</f>
        <v>0</v>
      </c>
      <c r="Q31" s="96">
        <f>Q28</f>
        <v>0</v>
      </c>
      <c r="R31" s="97">
        <f>R29+R27+R26+R23+R20+R19+R16+R11+R30+R28+R22+R21+R18+R17+R15+R14+R13+R12+R10+R24</f>
        <v>0</v>
      </c>
      <c r="S31" s="97">
        <f>S10+S30+S29+S27+S26+S11+S21+S23+S20+S19+S16+S14+S12+S24+S15+S18+S17+S13+S25</f>
        <v>0</v>
      </c>
      <c r="T31" s="98">
        <f>T30+T29+T27+T26+T24+T23+T22+T21+T20+T19+T16+T15+T14+T12+T11+T10+T18+T17+T13+T25</f>
        <v>0</v>
      </c>
      <c r="U31" s="99" t="e">
        <f>U30+U29+U28+U27+U26+U25+U24+U23+U22+U21+U20+U19+U18+U17+U16+U15+U14+U13+U12+U11+U10</f>
        <v>#DIV/0!</v>
      </c>
      <c r="V31" s="100">
        <f>V30+V29+V28+V27+V26+V25+V24+V23+V22+V21+V20+V19+V18+V17+V16+V15+V14+V13+V12+V11+V10</f>
        <v>0</v>
      </c>
    </row>
    <row r="32" spans="1:147" ht="16" thickBot="1" x14ac:dyDescent="0.25">
      <c r="A32" s="101" t="s">
        <v>37</v>
      </c>
      <c r="B32" s="102">
        <v>100</v>
      </c>
      <c r="C32" s="103">
        <v>100</v>
      </c>
      <c r="D32" s="104"/>
      <c r="E32" s="105" t="e">
        <f>E31*100/B31</f>
        <v>#DIV/0!</v>
      </c>
      <c r="F32" s="105" t="e">
        <f>F31*100/B31</f>
        <v>#DIV/0!</v>
      </c>
      <c r="G32" s="106" t="e">
        <f>G31*100/B31</f>
        <v>#DIV/0!</v>
      </c>
      <c r="H32" s="105" t="e">
        <f>H31*100/B31</f>
        <v>#DIV/0!</v>
      </c>
      <c r="I32" s="106" t="e">
        <f>I31*100/B31</f>
        <v>#DIV/0!</v>
      </c>
      <c r="J32" s="106" t="e">
        <f>J31*100/B31</f>
        <v>#DIV/0!</v>
      </c>
      <c r="K32" s="106" t="e">
        <f>K31*100/B31</f>
        <v>#DIV/0!</v>
      </c>
      <c r="L32" s="106" t="e">
        <f>L31*100/B31</f>
        <v>#DIV/0!</v>
      </c>
      <c r="M32" s="106" t="e">
        <f>M31*100/B31</f>
        <v>#DIV/0!</v>
      </c>
      <c r="N32" s="106" t="e">
        <f>N31*100/B31</f>
        <v>#DIV/0!</v>
      </c>
      <c r="O32" s="106" t="e">
        <f>O31*100/B31</f>
        <v>#DIV/0!</v>
      </c>
      <c r="P32" s="106" t="e">
        <f>P31*100/B31</f>
        <v>#DIV/0!</v>
      </c>
      <c r="Q32" s="106" t="e">
        <f>Q31*100%/B31</f>
        <v>#DIV/0!</v>
      </c>
      <c r="R32" s="105" t="e">
        <f>R31*100/B31</f>
        <v>#DIV/0!</v>
      </c>
      <c r="S32" s="105" t="e">
        <f>S31*100/B31</f>
        <v>#DIV/0!</v>
      </c>
      <c r="T32" s="107" t="s">
        <v>38</v>
      </c>
      <c r="U32" s="108" t="e">
        <f>U31/C31*1000</f>
        <v>#DIV/0!</v>
      </c>
      <c r="V32" s="109">
        <f>V31/20</f>
        <v>0</v>
      </c>
    </row>
    <row r="33" spans="2:19" ht="16" thickBot="1" x14ac:dyDescent="0.25"/>
    <row r="34" spans="2:19" ht="16" thickBot="1" x14ac:dyDescent="0.25">
      <c r="B34" s="110" t="s">
        <v>39</v>
      </c>
      <c r="C34" s="111"/>
      <c r="D34" s="111"/>
      <c r="E34" s="111"/>
      <c r="F34" s="112" t="e">
        <f>F32+H32</f>
        <v>#DIV/0!</v>
      </c>
      <c r="G34" s="113" t="s">
        <v>40</v>
      </c>
      <c r="H34" s="111"/>
      <c r="I34" s="114"/>
      <c r="J34" s="110" t="s">
        <v>41</v>
      </c>
      <c r="K34" s="111"/>
      <c r="L34" s="115" t="e">
        <f>I32/2</f>
        <v>#DIV/0!</v>
      </c>
      <c r="N34" s="116" t="s">
        <v>19</v>
      </c>
      <c r="O34" s="117" t="e">
        <f>T31*(B32*10)/B31</f>
        <v>#DIV/0!</v>
      </c>
      <c r="P34" s="118"/>
      <c r="Q34" s="110" t="s">
        <v>19</v>
      </c>
      <c r="R34" s="119">
        <f>T31/2</f>
        <v>0</v>
      </c>
      <c r="S34" s="114" t="s">
        <v>42</v>
      </c>
    </row>
    <row r="35" spans="2:19" ht="16" thickBot="1" x14ac:dyDescent="0.25">
      <c r="B35" s="120" t="s">
        <v>43</v>
      </c>
      <c r="C35" s="121"/>
      <c r="D35" s="121"/>
      <c r="E35" s="121"/>
      <c r="F35" s="122" t="e">
        <f>(100-H32-J32-M32-K32-O32-L32-N32-L34)*0.15</f>
        <v>#DIV/0!</v>
      </c>
      <c r="G35" s="123"/>
      <c r="N35" s="110" t="s">
        <v>44</v>
      </c>
      <c r="O35" s="111"/>
      <c r="P35" s="124" t="e">
        <f>IF(O34&lt;261,"-10°C",IF(O34&lt;281,"-11°C",IF(O34&lt;301,"-12°C",IF(O34&lt;321,"-13°C",IF(O34&lt;341,"-14°C",IF(O34&lt;361,"-15°C",IF(O34&lt;381,"-16°C",IF(O34&lt;401,"-17°C",IF(O34&lt;421,"-18°C")))))))))</f>
        <v>#DIV/0!</v>
      </c>
    </row>
    <row r="36" spans="2:19" ht="16" thickBot="1" x14ac:dyDescent="0.25">
      <c r="B36" s="110" t="s">
        <v>45</v>
      </c>
      <c r="C36" s="111"/>
      <c r="D36" s="111"/>
      <c r="E36" s="111"/>
      <c r="F36" s="125" t="e">
        <f>(100-F32)/(100-R32) *0.4</f>
        <v>#DIV/0!</v>
      </c>
      <c r="G36" s="124" t="s">
        <v>46</v>
      </c>
      <c r="L36" s="1"/>
    </row>
    <row r="39" spans="2:19" ht="26" x14ac:dyDescent="0.3">
      <c r="B39" s="126"/>
      <c r="C39" s="126"/>
      <c r="D39" s="126"/>
      <c r="E39" s="126"/>
      <c r="F39" s="126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D2308E-B231-4EDF-B864-8A368AF22537}">
  <dimension ref="A1"/>
  <sheetViews>
    <sheetView workbookViewId="0"/>
  </sheetViews>
  <sheetFormatPr baseColWidth="10" defaultRowHeight="1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Sheet1</vt:lpstr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 Debove</dc:creator>
  <cp:lastModifiedBy>Microsoft Office User</cp:lastModifiedBy>
  <dcterms:created xsi:type="dcterms:W3CDTF">2015-06-05T18:17:20Z</dcterms:created>
  <dcterms:modified xsi:type="dcterms:W3CDTF">2022-04-27T07:13:17Z</dcterms:modified>
</cp:coreProperties>
</file>